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secotz-my.sharepoint.com/personal/moremi_dse_co_tz/Documents/New/DSE/"/>
    </mc:Choice>
  </mc:AlternateContent>
  <xr:revisionPtr revIDLastSave="0" documentId="8_{D1FAAA03-7551-4636-8E08-60E1AD33A3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onds Price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2" l="1"/>
  <c r="F18" i="2"/>
  <c r="E16" i="2"/>
  <c r="E15" i="2"/>
  <c r="E14" i="2"/>
  <c r="E13" i="2"/>
  <c r="E12" i="2"/>
  <c r="E11" i="2"/>
  <c r="G10" i="2"/>
  <c r="E10" i="2"/>
  <c r="E9" i="2"/>
  <c r="E8" i="2"/>
  <c r="E7" i="2"/>
  <c r="E6" i="2"/>
  <c r="E5" i="2"/>
  <c r="E4" i="2"/>
  <c r="E3" i="2"/>
  <c r="E18" i="2" s="1"/>
  <c r="E20" i="2" s="1"/>
  <c r="C1" i="2"/>
  <c r="C24" i="1"/>
  <c r="B16" i="1"/>
  <c r="B17" i="1" s="1"/>
  <c r="C17" i="1" s="1"/>
  <c r="C13" i="1"/>
  <c r="B13" i="1"/>
  <c r="B12" i="1"/>
  <c r="C12" i="1" s="1"/>
  <c r="E22" i="2" l="1"/>
  <c r="E21" i="2"/>
  <c r="B14" i="1"/>
  <c r="C16" i="1"/>
  <c r="C14" i="1" l="1"/>
  <c r="C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ec80963</author>
  </authors>
  <commentList>
    <comment ref="C7" authorId="0" shapeId="0" xr:uid="{00000000-0006-0000-0000-000001000000}">
      <text>
        <r>
          <rPr>
            <sz val="11"/>
            <color indexed="8"/>
            <rFont val="Helvetica"/>
          </rPr>
          <t>ec80963:
for primary set LAST COUPON DATE = SETTLEMENT DATE</t>
        </r>
      </text>
    </comment>
  </commentList>
</comments>
</file>

<file path=xl/sharedStrings.xml><?xml version="1.0" encoding="utf-8"?>
<sst xmlns="http://schemas.openxmlformats.org/spreadsheetml/2006/main" count="24" uniqueCount="24">
  <si>
    <t>Settlement date</t>
  </si>
  <si>
    <t>Coupon withholding tax rate</t>
  </si>
  <si>
    <t>Coupon rate</t>
  </si>
  <si>
    <t>Coupon frequency</t>
  </si>
  <si>
    <t>Maturity Date</t>
  </si>
  <si>
    <t>Last coupon date</t>
  </si>
  <si>
    <t>Next coupon date</t>
  </si>
  <si>
    <t>Target Yield</t>
  </si>
  <si>
    <t>Clean price %</t>
  </si>
  <si>
    <t>Coupon days accrued</t>
  </si>
  <si>
    <t>Dirty price %</t>
  </si>
  <si>
    <t>Delta %</t>
  </si>
  <si>
    <t>Gamma %</t>
  </si>
  <si>
    <t>Traded amount</t>
  </si>
  <si>
    <t>Net proceeds to settle</t>
  </si>
  <si>
    <t>Notes: Change yellow cells only. All other cells are automatic</t>
  </si>
  <si>
    <t>Price (clean or dirty?)</t>
  </si>
  <si>
    <t>principal present vaue</t>
  </si>
  <si>
    <t>100/1.05875^13.38460</t>
  </si>
  <si>
    <t>coupons present value simpe interest</t>
  </si>
  <si>
    <t>coupons present value compound</t>
  </si>
  <si>
    <t>cean</t>
  </si>
  <si>
    <t>dirty</t>
  </si>
  <si>
    <r>
      <t xml:space="preserve"> </t>
    </r>
    <r>
      <rPr>
        <b/>
        <sz val="10"/>
        <color indexed="12"/>
        <rFont val="Arial"/>
      </rPr>
      <t>BULLET BOND PRICER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</si>
</sst>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&quot; &quot;mmmm&quot; &quot;yyyy"/>
    <numFmt numFmtId="165" formatCode="&quot; &quot;* #,##0&quot; &quot;;&quot;-&quot;* #,##0&quot; &quot;;&quot; &quot;* &quot;-&quot;??&quot; &quot;"/>
    <numFmt numFmtId="166" formatCode="0.0000%"/>
    <numFmt numFmtId="167" formatCode="&quot; &quot;* #,##0.0000&quot; &quot;;&quot;-&quot;* #,##0.0000&quot; &quot;;&quot; &quot;* &quot;-&quot;??&quot; &quot;"/>
    <numFmt numFmtId="168" formatCode="&quot; &quot;* #,##0.000&quot; &quot;;&quot;-&quot;* #,##0.000&quot; &quot;;&quot; &quot;* &quot;-&quot;??&quot; &quot;"/>
    <numFmt numFmtId="169" formatCode="&quot; &quot;* #,##0.0000&quot; &quot;;&quot; &quot;* \(#,##0.0000\);&quot; &quot;* &quot;-&quot;??&quot; &quot;"/>
    <numFmt numFmtId="170" formatCode="&quot; &quot;* #,##0.00&quot; &quot;;&quot; &quot;* \(#,##0.00\);&quot; &quot;* &quot;-&quot;??&quot; &quot;"/>
    <numFmt numFmtId="171" formatCode="0.0000"/>
  </numFmts>
  <fonts count="8" x14ac:knownFonts="1">
    <font>
      <sz val="12"/>
      <color indexed="8"/>
      <name val="Verdana"/>
    </font>
    <font>
      <sz val="10"/>
      <color indexed="8"/>
      <name val="Arial"/>
    </font>
    <font>
      <b/>
      <sz val="10"/>
      <color indexed="9"/>
      <name val="Arial"/>
    </font>
    <font>
      <b/>
      <sz val="10"/>
      <color indexed="12"/>
      <name val="Arial"/>
    </font>
    <font>
      <sz val="10"/>
      <color indexed="8"/>
      <name val="Helvetica"/>
    </font>
    <font>
      <b/>
      <sz val="10"/>
      <color indexed="8"/>
      <name val="Arial"/>
    </font>
    <font>
      <sz val="11"/>
      <color indexed="8"/>
      <name val="Helvetica"/>
    </font>
    <font>
      <i/>
      <sz val="10"/>
      <color indexed="1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3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4" fillId="3" borderId="4" xfId="0" applyNumberFormat="1" applyFont="1" applyFill="1" applyBorder="1" applyAlignment="1"/>
    <xf numFmtId="0" fontId="4" fillId="3" borderId="5" xfId="0" applyNumberFormat="1" applyFont="1" applyFill="1" applyBorder="1" applyAlignment="1"/>
    <xf numFmtId="0" fontId="1" fillId="3" borderId="6" xfId="0" applyNumberFormat="1" applyFont="1" applyFill="1" applyBorder="1" applyAlignment="1"/>
    <xf numFmtId="1" fontId="1" fillId="3" borderId="7" xfId="0" applyNumberFormat="1" applyFont="1" applyFill="1" applyBorder="1" applyAlignment="1"/>
    <xf numFmtId="164" fontId="5" fillId="4" borderId="8" xfId="0" applyNumberFormat="1" applyFont="1" applyFill="1" applyBorder="1" applyAlignment="1"/>
    <xf numFmtId="0" fontId="4" fillId="3" borderId="9" xfId="0" applyNumberFormat="1" applyFont="1" applyFill="1" applyBorder="1" applyAlignment="1"/>
    <xf numFmtId="0" fontId="1" fillId="3" borderId="9" xfId="0" applyNumberFormat="1" applyFont="1" applyFill="1" applyBorder="1" applyAlignment="1"/>
    <xf numFmtId="1" fontId="1" fillId="3" borderId="5" xfId="0" applyNumberFormat="1" applyFont="1" applyFill="1" applyBorder="1" applyAlignment="1"/>
    <xf numFmtId="9" fontId="5" fillId="4" borderId="10" xfId="0" applyNumberFormat="1" applyFont="1" applyFill="1" applyBorder="1" applyAlignment="1"/>
    <xf numFmtId="10" fontId="5" fillId="4" borderId="10" xfId="0" applyNumberFormat="1" applyFont="1" applyFill="1" applyBorder="1" applyAlignment="1"/>
    <xf numFmtId="0" fontId="5" fillId="4" borderId="10" xfId="0" applyNumberFormat="1" applyFont="1" applyFill="1" applyBorder="1" applyAlignment="1"/>
    <xf numFmtId="164" fontId="5" fillId="4" borderId="10" xfId="0" applyNumberFormat="1" applyFont="1" applyFill="1" applyBorder="1" applyAlignment="1"/>
    <xf numFmtId="0" fontId="1" fillId="3" borderId="5" xfId="0" applyNumberFormat="1" applyFont="1" applyFill="1" applyBorder="1" applyAlignment="1"/>
    <xf numFmtId="0" fontId="1" fillId="3" borderId="11" xfId="0" applyNumberFormat="1" applyFont="1" applyFill="1" applyBorder="1" applyAlignment="1"/>
    <xf numFmtId="1" fontId="1" fillId="3" borderId="12" xfId="0" applyNumberFormat="1" applyFont="1" applyFill="1" applyBorder="1" applyAlignment="1"/>
    <xf numFmtId="164" fontId="5" fillId="4" borderId="13" xfId="0" applyNumberFormat="1" applyFont="1" applyFill="1" applyBorder="1" applyAlignment="1"/>
    <xf numFmtId="0" fontId="4" fillId="3" borderId="14" xfId="0" applyNumberFormat="1" applyFont="1" applyFill="1" applyBorder="1" applyAlignment="1"/>
    <xf numFmtId="1" fontId="1" fillId="3" borderId="14" xfId="0" applyNumberFormat="1" applyFont="1" applyFill="1" applyBorder="1" applyAlignment="1"/>
    <xf numFmtId="165" fontId="1" fillId="3" borderId="14" xfId="0" applyNumberFormat="1" applyFont="1" applyFill="1" applyBorder="1" applyAlignment="1"/>
    <xf numFmtId="166" fontId="5" fillId="4" borderId="8" xfId="0" applyNumberFormat="1" applyFont="1" applyFill="1" applyBorder="1" applyAlignment="1"/>
    <xf numFmtId="1" fontId="1" fillId="3" borderId="9" xfId="0" applyNumberFormat="1" applyFont="1" applyFill="1" applyBorder="1" applyAlignment="1"/>
    <xf numFmtId="10" fontId="5" fillId="3" borderId="10" xfId="0" applyNumberFormat="1" applyFont="1" applyFill="1" applyBorder="1" applyAlignment="1"/>
    <xf numFmtId="167" fontId="1" fillId="3" borderId="5" xfId="0" applyNumberFormat="1" applyFont="1" applyFill="1" applyBorder="1" applyAlignment="1"/>
    <xf numFmtId="167" fontId="5" fillId="3" borderId="10" xfId="0" applyNumberFormat="1" applyFont="1" applyFill="1" applyBorder="1" applyAlignment="1"/>
    <xf numFmtId="0" fontId="1" fillId="3" borderId="5" xfId="0" applyFont="1" applyFill="1" applyBorder="1" applyAlignment="1"/>
    <xf numFmtId="165" fontId="1" fillId="3" borderId="10" xfId="0" applyNumberFormat="1" applyFont="1" applyFill="1" applyBorder="1" applyAlignment="1">
      <alignment horizontal="right"/>
    </xf>
    <xf numFmtId="167" fontId="1" fillId="3" borderId="12" xfId="0" applyNumberFormat="1" applyFont="1" applyFill="1" applyBorder="1" applyAlignment="1"/>
    <xf numFmtId="167" fontId="5" fillId="3" borderId="13" xfId="0" applyNumberFormat="1" applyFont="1" applyFill="1" applyBorder="1" applyAlignment="1"/>
    <xf numFmtId="167" fontId="1" fillId="3" borderId="9" xfId="0" applyNumberFormat="1" applyFont="1" applyFill="1" applyBorder="1" applyAlignment="1"/>
    <xf numFmtId="167" fontId="1" fillId="3" borderId="14" xfId="0" applyNumberFormat="1" applyFont="1" applyFill="1" applyBorder="1" applyAlignment="1"/>
    <xf numFmtId="168" fontId="1" fillId="3" borderId="14" xfId="0" applyNumberFormat="1" applyFont="1" applyFill="1" applyBorder="1" applyAlignment="1"/>
    <xf numFmtId="9" fontId="1" fillId="3" borderId="5" xfId="0" applyNumberFormat="1" applyFont="1" applyFill="1" applyBorder="1" applyAlignment="1"/>
    <xf numFmtId="167" fontId="1" fillId="3" borderId="7" xfId="0" applyNumberFormat="1" applyFont="1" applyFill="1" applyBorder="1" applyAlignment="1"/>
    <xf numFmtId="167" fontId="1" fillId="3" borderId="8" xfId="0" applyNumberFormat="1" applyFont="1" applyFill="1" applyBorder="1" applyAlignment="1"/>
    <xf numFmtId="167" fontId="1" fillId="3" borderId="13" xfId="0" applyNumberFormat="1" applyFont="1" applyFill="1" applyBorder="1" applyAlignment="1"/>
    <xf numFmtId="167" fontId="5" fillId="3" borderId="14" xfId="0" applyNumberFormat="1" applyFont="1" applyFill="1" applyBorder="1" applyAlignment="1"/>
    <xf numFmtId="3" fontId="5" fillId="4" borderId="8" xfId="0" applyNumberFormat="1" applyFont="1" applyFill="1" applyBorder="1" applyAlignment="1"/>
    <xf numFmtId="165" fontId="1" fillId="3" borderId="13" xfId="0" applyNumberFormat="1" applyFont="1" applyFill="1" applyBorder="1" applyAlignment="1"/>
    <xf numFmtId="169" fontId="1" fillId="3" borderId="5" xfId="0" applyNumberFormat="1" applyFont="1" applyFill="1" applyBorder="1" applyAlignment="1"/>
    <xf numFmtId="170" fontId="1" fillId="3" borderId="5" xfId="0" applyNumberFormat="1" applyFont="1" applyFill="1" applyBorder="1" applyAlignment="1"/>
    <xf numFmtId="0" fontId="4" fillId="3" borderId="7" xfId="0" applyNumberFormat="1" applyFont="1" applyFill="1" applyBorder="1" applyAlignment="1"/>
    <xf numFmtId="0" fontId="7" fillId="3" borderId="5" xfId="0" applyNumberFormat="1" applyFont="1" applyFill="1" applyBorder="1" applyAlignment="1"/>
    <xf numFmtId="171" fontId="1" fillId="3" borderId="5" xfId="0" applyNumberFormat="1" applyFont="1" applyFill="1" applyBorder="1" applyAlignment="1"/>
    <xf numFmtId="0" fontId="1" fillId="0" borderId="0" xfId="0" applyNumberFormat="1" applyFont="1" applyAlignment="1"/>
    <xf numFmtId="0" fontId="1" fillId="0" borderId="15" xfId="0" applyNumberFormat="1" applyFont="1" applyBorder="1" applyAlignment="1"/>
    <xf numFmtId="0" fontId="1" fillId="0" borderId="15" xfId="0" applyFont="1" applyBorder="1" applyAlignment="1"/>
    <xf numFmtId="15" fontId="1" fillId="0" borderId="15" xfId="0" applyNumberFormat="1" applyFont="1" applyBorder="1" applyAlignment="1"/>
    <xf numFmtId="10" fontId="1" fillId="0" borderId="15" xfId="0" applyNumberFormat="1" applyFont="1" applyBorder="1" applyAlignment="1"/>
    <xf numFmtId="0" fontId="2" fillId="2" borderId="1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00D4"/>
      <rgbColor rgb="FFAAAAAA"/>
      <rgbColor rgb="FFFF6600"/>
      <rgbColor rgb="FFFFFF99"/>
      <rgbColor rgb="FFDD080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4"/>
  <sheetViews>
    <sheetView showGridLines="0" tabSelected="1" workbookViewId="0">
      <selection activeCell="E17" sqref="E17"/>
    </sheetView>
  </sheetViews>
  <sheetFormatPr defaultColWidth="6.59765625" defaultRowHeight="12.75" customHeight="1" x14ac:dyDescent="0.25"/>
  <cols>
    <col min="1" max="1" width="29.3984375" style="1" customWidth="1"/>
    <col min="2" max="2" width="18.265625" style="1" customWidth="1"/>
    <col min="3" max="3" width="13.3984375" style="1" customWidth="1"/>
    <col min="4" max="5" width="8.59765625" style="1" customWidth="1"/>
    <col min="6" max="6" width="11.265625" style="1" customWidth="1"/>
    <col min="7" max="7" width="9.3984375" style="1" customWidth="1"/>
    <col min="8" max="256" width="6.59765625" style="1" customWidth="1"/>
  </cols>
  <sheetData>
    <row r="1" spans="1:7" ht="12.75" customHeight="1" x14ac:dyDescent="0.3">
      <c r="A1" s="50" t="s">
        <v>23</v>
      </c>
      <c r="B1" s="51"/>
      <c r="C1" s="52"/>
      <c r="D1" s="2"/>
      <c r="E1" s="3"/>
      <c r="F1" s="3"/>
      <c r="G1" s="3"/>
    </row>
    <row r="2" spans="1:7" ht="12.75" customHeight="1" x14ac:dyDescent="0.3">
      <c r="A2" s="4" t="s">
        <v>0</v>
      </c>
      <c r="B2" s="5"/>
      <c r="C2" s="6">
        <v>42843</v>
      </c>
      <c r="D2" s="7"/>
      <c r="E2" s="3"/>
      <c r="F2" s="3"/>
      <c r="G2" s="3"/>
    </row>
    <row r="3" spans="1:7" ht="12.75" customHeight="1" x14ac:dyDescent="0.3">
      <c r="A3" s="8" t="s">
        <v>1</v>
      </c>
      <c r="B3" s="9"/>
      <c r="C3" s="10">
        <v>0</v>
      </c>
      <c r="D3" s="7"/>
      <c r="E3" s="3"/>
      <c r="F3" s="3"/>
      <c r="G3" s="3"/>
    </row>
    <row r="4" spans="1:7" ht="12.75" customHeight="1" x14ac:dyDescent="0.3">
      <c r="A4" s="8" t="s">
        <v>2</v>
      </c>
      <c r="B4" s="9"/>
      <c r="C4" s="11">
        <v>7.8200000000000006E-2</v>
      </c>
      <c r="D4" s="7"/>
      <c r="E4" s="3"/>
      <c r="F4" s="3"/>
      <c r="G4" s="3"/>
    </row>
    <row r="5" spans="1:7" ht="12.75" customHeight="1" x14ac:dyDescent="0.3">
      <c r="A5" s="8" t="s">
        <v>3</v>
      </c>
      <c r="B5" s="9"/>
      <c r="C5" s="12">
        <v>2</v>
      </c>
      <c r="D5" s="7"/>
      <c r="E5" s="3"/>
      <c r="F5" s="3"/>
      <c r="G5" s="3"/>
    </row>
    <row r="6" spans="1:7" ht="12.75" customHeight="1" x14ac:dyDescent="0.3">
      <c r="A6" s="8" t="s">
        <v>4</v>
      </c>
      <c r="B6" s="9"/>
      <c r="C6" s="13">
        <v>43316</v>
      </c>
      <c r="D6" s="7"/>
      <c r="E6" s="3"/>
      <c r="F6" s="14"/>
      <c r="G6" s="14"/>
    </row>
    <row r="7" spans="1:7" ht="12.75" customHeight="1" x14ac:dyDescent="0.3">
      <c r="A7" s="8" t="s">
        <v>5</v>
      </c>
      <c r="B7" s="9"/>
      <c r="C7" s="13">
        <v>42768</v>
      </c>
      <c r="D7" s="7"/>
      <c r="E7" s="3"/>
      <c r="F7" s="14"/>
      <c r="G7" s="14"/>
    </row>
    <row r="8" spans="1:7" ht="12.75" customHeight="1" x14ac:dyDescent="0.3">
      <c r="A8" s="15" t="s">
        <v>6</v>
      </c>
      <c r="B8" s="16"/>
      <c r="C8" s="17">
        <v>42951</v>
      </c>
      <c r="D8" s="7"/>
      <c r="E8" s="3"/>
      <c r="F8" s="14"/>
      <c r="G8" s="14"/>
    </row>
    <row r="9" spans="1:7" ht="12.75" customHeight="1" x14ac:dyDescent="0.25">
      <c r="A9" s="18"/>
      <c r="B9" s="19"/>
      <c r="C9" s="20"/>
      <c r="D9" s="3"/>
      <c r="E9" s="3"/>
      <c r="F9" s="3"/>
      <c r="G9" s="3"/>
    </row>
    <row r="10" spans="1:7" ht="12.75" customHeight="1" x14ac:dyDescent="0.3">
      <c r="A10" s="4" t="s">
        <v>7</v>
      </c>
      <c r="B10" s="5"/>
      <c r="C10" s="21">
        <v>0.14499999999999999</v>
      </c>
      <c r="D10" s="7"/>
      <c r="E10" s="3"/>
      <c r="F10" s="3"/>
      <c r="G10" s="3"/>
    </row>
    <row r="11" spans="1:7" ht="12.75" customHeight="1" x14ac:dyDescent="0.3">
      <c r="A11" s="22"/>
      <c r="B11" s="9"/>
      <c r="C11" s="23"/>
      <c r="D11" s="7"/>
      <c r="E11" s="3"/>
      <c r="F11" s="3"/>
      <c r="G11" s="3"/>
    </row>
    <row r="12" spans="1:7" ht="12.75" customHeight="1" x14ac:dyDescent="0.3">
      <c r="A12" s="8" t="s">
        <v>8</v>
      </c>
      <c r="B12" s="24">
        <f>PRICE($C$2,$C$6,$C$4*(1-$C$3),$C$10,100,$C$5,3)</f>
        <v>92.302186961993499</v>
      </c>
      <c r="C12" s="25">
        <f>$B$12</f>
        <v>92.302186961993499</v>
      </c>
      <c r="D12" s="7"/>
      <c r="E12" s="3"/>
      <c r="F12" s="3"/>
      <c r="G12" s="3"/>
    </row>
    <row r="13" spans="1:7" ht="12.75" customHeight="1" x14ac:dyDescent="0.25">
      <c r="A13" s="8" t="s">
        <v>9</v>
      </c>
      <c r="B13" s="26">
        <f>IF(C2&gt;C8,0,C2-C7)</f>
        <v>75</v>
      </c>
      <c r="C13" s="27" t="str">
        <f>ROUND($B$13,0)&amp;" days"</f>
        <v>75 days</v>
      </c>
      <c r="D13" s="7"/>
      <c r="E13" s="3"/>
      <c r="F13" s="3"/>
      <c r="G13" s="3"/>
    </row>
    <row r="14" spans="1:7" ht="12.75" customHeight="1" x14ac:dyDescent="0.3">
      <c r="A14" s="15" t="s">
        <v>10</v>
      </c>
      <c r="B14" s="28">
        <f>$B$12+($B$13/365)*$C$4*100</f>
        <v>93.909036277061986</v>
      </c>
      <c r="C14" s="29">
        <f>$B$14</f>
        <v>93.909036277061986</v>
      </c>
      <c r="D14" s="30"/>
      <c r="E14" s="3"/>
      <c r="F14" s="3"/>
      <c r="G14" s="3"/>
    </row>
    <row r="15" spans="1:7" ht="12.75" customHeight="1" x14ac:dyDescent="0.25">
      <c r="A15" s="18"/>
      <c r="B15" s="31"/>
      <c r="C15" s="32"/>
      <c r="D15" s="3"/>
      <c r="E15" s="3"/>
      <c r="F15" s="33"/>
      <c r="G15" s="3"/>
    </row>
    <row r="16" spans="1:7" ht="12.75" customHeight="1" x14ac:dyDescent="0.25">
      <c r="A16" s="4" t="s">
        <v>11</v>
      </c>
      <c r="B16" s="34">
        <f>PRICE($C$2,$C$6,$C$4*(1-$C$3),$C$10,100,$C$5,3)-PRICE($C$2,$C$6,$C$4*(1-$C$3),$C$10+0.01/100,100,$C$5,3)</f>
        <v>1.0864271034904505E-2</v>
      </c>
      <c r="C16" s="35">
        <f>$B$16</f>
        <v>1.0864271034904505E-2</v>
      </c>
      <c r="D16" s="7"/>
      <c r="E16" s="3"/>
      <c r="F16" s="3"/>
      <c r="G16" s="3"/>
    </row>
    <row r="17" spans="1:7" ht="12.75" customHeight="1" x14ac:dyDescent="0.25">
      <c r="A17" s="15" t="s">
        <v>12</v>
      </c>
      <c r="B17" s="28">
        <f>B16-(PRICE($C$2,$C$6,$C$4*(1-$C$3),$C$10+0.1/100,100,$C$5,3)-PRICE($C$2,$C$6,$C$4*(1-$C$3),$C$10+0.11/100,100,$C$5,3))</f>
        <v>1.7994796422726722E-5</v>
      </c>
      <c r="C17" s="36">
        <f>$B$17</f>
        <v>1.7994796422726722E-5</v>
      </c>
      <c r="D17" s="7"/>
      <c r="E17" s="3"/>
      <c r="F17" s="3"/>
      <c r="G17" s="3"/>
    </row>
    <row r="18" spans="1:7" ht="12.75" customHeight="1" x14ac:dyDescent="0.3">
      <c r="A18" s="18"/>
      <c r="B18" s="19"/>
      <c r="C18" s="37"/>
      <c r="D18" s="3"/>
      <c r="E18" s="3"/>
      <c r="F18" s="3"/>
      <c r="G18" s="3"/>
    </row>
    <row r="19" spans="1:7" ht="12.75" customHeight="1" x14ac:dyDescent="0.3">
      <c r="A19" s="4" t="s">
        <v>13</v>
      </c>
      <c r="B19" s="5"/>
      <c r="C19" s="38">
        <v>770000000</v>
      </c>
      <c r="D19" s="7"/>
      <c r="E19" s="3"/>
      <c r="F19" s="3"/>
      <c r="G19" s="3"/>
    </row>
    <row r="20" spans="1:7" ht="12.75" customHeight="1" x14ac:dyDescent="0.25">
      <c r="A20" s="15" t="s">
        <v>14</v>
      </c>
      <c r="B20" s="16"/>
      <c r="C20" s="39">
        <f>$B$14*0.01*C19</f>
        <v>723099579.33337724</v>
      </c>
      <c r="D20" s="7"/>
      <c r="E20" s="40"/>
      <c r="F20" s="41"/>
      <c r="G20" s="3"/>
    </row>
    <row r="21" spans="1:7" ht="12.75" customHeight="1" x14ac:dyDescent="0.25">
      <c r="A21" s="42"/>
      <c r="B21" s="5"/>
      <c r="C21" s="42"/>
      <c r="D21" s="3"/>
      <c r="E21" s="3"/>
      <c r="F21" s="3"/>
      <c r="G21" s="3"/>
    </row>
    <row r="22" spans="1:7" ht="12.75" customHeight="1" x14ac:dyDescent="0.3">
      <c r="A22" s="43" t="s">
        <v>15</v>
      </c>
      <c r="B22" s="3"/>
      <c r="C22" s="3"/>
      <c r="D22" s="3"/>
      <c r="E22" s="3"/>
      <c r="F22" s="3"/>
      <c r="G22" s="3"/>
    </row>
    <row r="23" spans="1:7" ht="16" customHeight="1" x14ac:dyDescent="0.25">
      <c r="A23" s="3"/>
      <c r="B23" s="3"/>
      <c r="C23" s="3"/>
      <c r="D23" s="3"/>
      <c r="E23" s="3"/>
      <c r="F23" s="3"/>
      <c r="G23" s="3"/>
    </row>
    <row r="24" spans="1:7" ht="12.75" customHeight="1" x14ac:dyDescent="0.25">
      <c r="A24" s="14" t="s">
        <v>16</v>
      </c>
      <c r="B24" s="3"/>
      <c r="C24" s="44">
        <f>PRICE(C2,C6,C4,C10,100,C5,3)</f>
        <v>92.302186961993499</v>
      </c>
      <c r="D24" s="3"/>
      <c r="E24" s="3"/>
      <c r="F24" s="3"/>
      <c r="G24" s="3"/>
    </row>
  </sheetData>
  <mergeCells count="1">
    <mergeCell ref="A1:C1"/>
  </mergeCells>
  <pageMargins left="0.75" right="0.75" top="1" bottom="1" header="0.5" footer="0.5"/>
  <pageSetup orientation="portrait"/>
  <headerFooter>
    <oddFooter>&amp;L&amp;"Helvetica,Regular"&amp;12&amp;K000000	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2"/>
  <sheetViews>
    <sheetView showGridLines="0" workbookViewId="0"/>
  </sheetViews>
  <sheetFormatPr defaultColWidth="6.59765625" defaultRowHeight="12.75" customHeight="1" x14ac:dyDescent="0.25"/>
  <cols>
    <col min="1" max="1" width="23.59765625" style="45" customWidth="1"/>
    <col min="2" max="2" width="14.59765625" style="45" customWidth="1"/>
    <col min="3" max="6" width="6.59765625" style="45" customWidth="1"/>
    <col min="7" max="7" width="7" style="45" customWidth="1"/>
    <col min="8" max="256" width="6.59765625" style="45" customWidth="1"/>
  </cols>
  <sheetData>
    <row r="1" spans="1:7" ht="16" customHeight="1" x14ac:dyDescent="0.25">
      <c r="A1" s="46" t="s">
        <v>17</v>
      </c>
      <c r="B1" s="46" t="s">
        <v>18</v>
      </c>
      <c r="C1" s="46">
        <f>100/1.05875^13.3846</f>
        <v>46.574687110419461</v>
      </c>
      <c r="D1" s="47"/>
      <c r="E1" s="47"/>
      <c r="F1" s="47"/>
      <c r="G1" s="47"/>
    </row>
    <row r="2" spans="1:7" ht="16" customHeight="1" x14ac:dyDescent="0.25">
      <c r="A2" s="47"/>
      <c r="B2" s="47"/>
      <c r="C2" s="47"/>
      <c r="D2" s="47"/>
      <c r="E2" s="47"/>
      <c r="F2" s="47"/>
      <c r="G2" s="48">
        <v>40724</v>
      </c>
    </row>
    <row r="3" spans="1:7" ht="16" customHeight="1" x14ac:dyDescent="0.25">
      <c r="A3" s="46" t="s">
        <v>19</v>
      </c>
      <c r="B3" s="46">
        <v>5.04</v>
      </c>
      <c r="C3" s="46">
        <v>1.0587500000000001</v>
      </c>
      <c r="D3" s="46">
        <v>0.3846</v>
      </c>
      <c r="E3" s="46">
        <f t="shared" ref="E3:E16" si="0">B3/C3^D3</f>
        <v>4.9305456694161141</v>
      </c>
      <c r="F3" s="47"/>
      <c r="G3" s="48">
        <v>40612</v>
      </c>
    </row>
    <row r="4" spans="1:7" ht="16" customHeight="1" x14ac:dyDescent="0.25">
      <c r="A4" s="47"/>
      <c r="B4" s="46">
        <v>5.04</v>
      </c>
      <c r="C4" s="46">
        <v>1.0587500000000001</v>
      </c>
      <c r="D4" s="46">
        <v>1.3846000000000001</v>
      </c>
      <c r="E4" s="46">
        <f t="shared" si="0"/>
        <v>4.6569498648558332</v>
      </c>
      <c r="F4" s="47"/>
      <c r="G4" s="48">
        <v>43169</v>
      </c>
    </row>
    <row r="5" spans="1:7" ht="16" customHeight="1" x14ac:dyDescent="0.25">
      <c r="A5" s="47"/>
      <c r="B5" s="46">
        <v>5.04</v>
      </c>
      <c r="C5" s="46">
        <v>1.0587500000000001</v>
      </c>
      <c r="D5" s="46">
        <v>2.3845999999999998</v>
      </c>
      <c r="E5" s="46">
        <f t="shared" si="0"/>
        <v>4.398535881800079</v>
      </c>
      <c r="F5" s="47"/>
      <c r="G5" s="46">
        <v>2</v>
      </c>
    </row>
    <row r="6" spans="1:7" ht="16" customHeight="1" x14ac:dyDescent="0.25">
      <c r="A6" s="47"/>
      <c r="B6" s="46">
        <v>5.04</v>
      </c>
      <c r="C6" s="46">
        <v>1.0587500000000001</v>
      </c>
      <c r="D6" s="46">
        <v>3.3845999999999998</v>
      </c>
      <c r="E6" s="46">
        <f t="shared" si="0"/>
        <v>4.1544612815112902</v>
      </c>
      <c r="F6" s="47"/>
      <c r="G6" s="46">
        <v>100</v>
      </c>
    </row>
    <row r="7" spans="1:7" ht="16" customHeight="1" x14ac:dyDescent="0.25">
      <c r="A7" s="47"/>
      <c r="B7" s="46">
        <v>5.04</v>
      </c>
      <c r="C7" s="46">
        <v>1.0587500000000001</v>
      </c>
      <c r="D7" s="46">
        <v>4.3845999999999998</v>
      </c>
      <c r="E7" s="46">
        <f t="shared" si="0"/>
        <v>3.9239303721476175</v>
      </c>
      <c r="F7" s="47"/>
      <c r="G7" s="49">
        <v>0.11749999999999999</v>
      </c>
    </row>
    <row r="8" spans="1:7" ht="16" customHeight="1" x14ac:dyDescent="0.25">
      <c r="A8" s="47"/>
      <c r="B8" s="46">
        <v>5.04</v>
      </c>
      <c r="C8" s="46">
        <v>1.0587500000000001</v>
      </c>
      <c r="D8" s="46">
        <v>5.3845999999999998</v>
      </c>
      <c r="E8" s="46">
        <f t="shared" si="0"/>
        <v>3.706191614779331</v>
      </c>
      <c r="F8" s="47"/>
      <c r="G8" s="49">
        <v>0.1008</v>
      </c>
    </row>
    <row r="9" spans="1:7" ht="16" customHeight="1" x14ac:dyDescent="0.25">
      <c r="A9" s="47"/>
      <c r="B9" s="46">
        <v>5.04</v>
      </c>
      <c r="C9" s="46">
        <v>1.0587500000000001</v>
      </c>
      <c r="D9" s="46">
        <v>6.3845999999999998</v>
      </c>
      <c r="E9" s="46">
        <f t="shared" si="0"/>
        <v>3.5005351733452952</v>
      </c>
      <c r="F9" s="47"/>
      <c r="G9" s="47"/>
    </row>
    <row r="10" spans="1:7" ht="16" customHeight="1" x14ac:dyDescent="0.25">
      <c r="A10" s="47"/>
      <c r="B10" s="46">
        <v>5.04</v>
      </c>
      <c r="C10" s="46">
        <v>1.0587500000000001</v>
      </c>
      <c r="D10" s="46">
        <v>7.3845999999999998</v>
      </c>
      <c r="E10" s="46">
        <f t="shared" si="0"/>
        <v>3.3062906005622619</v>
      </c>
      <c r="F10" s="47"/>
      <c r="G10" s="46">
        <f>PRICE(G2,G4,G8,G7,G6,2,3)</f>
        <v>92.371964541401397</v>
      </c>
    </row>
    <row r="11" spans="1:7" ht="16" customHeight="1" x14ac:dyDescent="0.25">
      <c r="A11" s="47"/>
      <c r="B11" s="46">
        <v>5.04</v>
      </c>
      <c r="C11" s="46">
        <v>1.0587500000000001</v>
      </c>
      <c r="D11" s="46">
        <v>8.3846000000000007</v>
      </c>
      <c r="E11" s="46">
        <f t="shared" si="0"/>
        <v>3.1228246522429859</v>
      </c>
      <c r="F11" s="47"/>
      <c r="G11" s="47"/>
    </row>
    <row r="12" spans="1:7" ht="16" customHeight="1" x14ac:dyDescent="0.25">
      <c r="A12" s="47"/>
      <c r="B12" s="46">
        <v>5.04</v>
      </c>
      <c r="C12" s="46">
        <v>1.0587500000000001</v>
      </c>
      <c r="D12" s="46">
        <v>9.3846000000000007</v>
      </c>
      <c r="E12" s="46">
        <f t="shared" si="0"/>
        <v>2.9495392228977431</v>
      </c>
      <c r="F12" s="47"/>
      <c r="G12" s="47"/>
    </row>
    <row r="13" spans="1:7" ht="16" customHeight="1" x14ac:dyDescent="0.25">
      <c r="A13" s="47"/>
      <c r="B13" s="46">
        <v>5.04</v>
      </c>
      <c r="C13" s="46">
        <v>1.0587500000000001</v>
      </c>
      <c r="D13" s="46">
        <v>10.384600000000001</v>
      </c>
      <c r="E13" s="46">
        <f t="shared" si="0"/>
        <v>2.7858693958892493</v>
      </c>
      <c r="F13" s="47"/>
      <c r="G13" s="47"/>
    </row>
    <row r="14" spans="1:7" ht="16" customHeight="1" x14ac:dyDescent="0.25">
      <c r="A14" s="47"/>
      <c r="B14" s="46">
        <v>5.04</v>
      </c>
      <c r="C14" s="46">
        <v>1.0587500000000001</v>
      </c>
      <c r="D14" s="46">
        <v>11.384600000000001</v>
      </c>
      <c r="E14" s="46">
        <f t="shared" si="0"/>
        <v>2.6312816017844152</v>
      </c>
      <c r="F14" s="47"/>
      <c r="G14" s="47"/>
    </row>
    <row r="15" spans="1:7" ht="16" customHeight="1" x14ac:dyDescent="0.25">
      <c r="A15" s="47"/>
      <c r="B15" s="46">
        <v>5.04</v>
      </c>
      <c r="C15" s="46">
        <v>1.0587500000000001</v>
      </c>
      <c r="D15" s="46">
        <v>12.384600000000001</v>
      </c>
      <c r="E15" s="46">
        <f t="shared" si="0"/>
        <v>2.4852718788990931</v>
      </c>
      <c r="F15" s="47"/>
      <c r="G15" s="47"/>
    </row>
    <row r="16" spans="1:7" ht="16" customHeight="1" x14ac:dyDescent="0.25">
      <c r="A16" s="47"/>
      <c r="B16" s="46">
        <v>5.04</v>
      </c>
      <c r="C16" s="46">
        <v>1.0587500000000001</v>
      </c>
      <c r="D16" s="46">
        <v>13.384600000000001</v>
      </c>
      <c r="E16" s="46">
        <f t="shared" si="0"/>
        <v>2.347364230365141</v>
      </c>
      <c r="F16" s="47"/>
      <c r="G16" s="47"/>
    </row>
    <row r="17" spans="1:7" ht="15.65" customHeight="1" x14ac:dyDescent="0.25">
      <c r="A17" s="47"/>
      <c r="B17" s="47"/>
      <c r="C17" s="47"/>
      <c r="D17" s="47"/>
      <c r="E17" s="47"/>
      <c r="F17" s="47"/>
      <c r="G17" s="47"/>
    </row>
    <row r="18" spans="1:7" ht="16" customHeight="1" x14ac:dyDescent="0.25">
      <c r="A18" s="46" t="s">
        <v>20</v>
      </c>
      <c r="B18" s="47"/>
      <c r="C18" s="47"/>
      <c r="D18" s="47"/>
      <c r="E18" s="46">
        <f>SUM(E3:E16)</f>
        <v>48.899591440496451</v>
      </c>
      <c r="F18" s="46">
        <f>5.04/0.05875*(1-(1/1.05875^D16))</f>
        <v>45.832098206550803</v>
      </c>
      <c r="G18" s="47"/>
    </row>
    <row r="19" spans="1:7" ht="16" customHeight="1" x14ac:dyDescent="0.25">
      <c r="A19" s="47"/>
      <c r="B19" s="47"/>
      <c r="C19" s="47"/>
      <c r="D19" s="47"/>
      <c r="E19" s="47"/>
      <c r="F19" s="46">
        <f>F18+C1</f>
        <v>92.406785316970257</v>
      </c>
      <c r="G19" s="47"/>
    </row>
    <row r="20" spans="1:7" ht="16" customHeight="1" x14ac:dyDescent="0.25">
      <c r="A20" s="47"/>
      <c r="B20" s="47"/>
      <c r="C20" s="47"/>
      <c r="D20" s="46" t="s">
        <v>21</v>
      </c>
      <c r="E20" s="46">
        <f>SUM(E18,C1)</f>
        <v>95.474278550915912</v>
      </c>
      <c r="F20" s="47"/>
      <c r="G20" s="47"/>
    </row>
    <row r="21" spans="1:7" ht="16" customHeight="1" x14ac:dyDescent="0.25">
      <c r="A21" s="47"/>
      <c r="B21" s="47"/>
      <c r="C21" s="47"/>
      <c r="D21" s="46" t="s">
        <v>22</v>
      </c>
      <c r="E21" s="46">
        <f>E20+3.1015</f>
        <v>98.575778550915913</v>
      </c>
      <c r="F21" s="47"/>
      <c r="G21" s="47"/>
    </row>
    <row r="22" spans="1:7" ht="16" customHeight="1" x14ac:dyDescent="0.25">
      <c r="A22" s="47"/>
      <c r="B22" s="47"/>
      <c r="C22" s="47"/>
      <c r="D22" s="47"/>
      <c r="E22" s="46">
        <f>E20-3.1015</f>
        <v>92.372778550915911</v>
      </c>
      <c r="F22" s="47"/>
      <c r="G22" s="47"/>
    </row>
  </sheetData>
  <pageMargins left="0.75" right="0.75" top="1" bottom="1" header="0.5" footer="0.5"/>
  <pageSetup orientation="landscape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Bonds Price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Moremi Marwa</cp:lastModifiedBy>
  <dcterms:created xsi:type="dcterms:W3CDTF">2021-09-09T05:56:48Z</dcterms:created>
  <dcterms:modified xsi:type="dcterms:W3CDTF">2021-09-09T05:56:48Z</dcterms:modified>
</cp:coreProperties>
</file>